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13_ncr:1_{4B09BA26-3812-42ED-9ADA-E7A77F2550A4}" xr6:coauthVersionLast="47" xr6:coauthVersionMax="47" xr10:uidLastSave="{00000000-0000-0000-0000-000000000000}"/>
  <bookViews>
    <workbookView xWindow="30510" yWindow="1410" windowWidth="24600" windowHeight="15690" xr2:uid="{1DF41978-8233-46E3-A514-ECF368B60E29}"/>
  </bookViews>
  <sheets>
    <sheet name="LSE_HDCQ1 coversheet" sheetId="2" r:id="rId1"/>
    <sheet name="LSE_HDC_Q1 2023"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 l="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alcChain>
</file>

<file path=xl/sharedStrings.xml><?xml version="1.0" encoding="utf-8"?>
<sst xmlns="http://schemas.openxmlformats.org/spreadsheetml/2006/main" count="41" uniqueCount="36">
  <si>
    <t>purchase</t>
  </si>
  <si>
    <t>refinance</t>
  </si>
  <si>
    <t>Mortgage origination volume by purpose</t>
  </si>
  <si>
    <t>billions of $</t>
  </si>
  <si>
    <t>Source:  New York Fed Consumer Credit Panel / Equifax</t>
  </si>
  <si>
    <t>Note: The blog post describes $430 billion in refinances between 2020Q2 and 2021Q4. The difference between the $398 billion seen here is that "rate refinances" are associated with some balance increase to account for closing costs.</t>
  </si>
  <si>
    <t>equity extraction from refinance</t>
  </si>
  <si>
    <t>as pct of dpi (right axis)</t>
  </si>
  <si>
    <t>aggregate equity extraction</t>
  </si>
  <si>
    <t>% refinanced</t>
  </si>
  <si>
    <t>&gt; $100k</t>
  </si>
  <si>
    <t>$100K to $200K</t>
  </si>
  <si>
    <t>$200K to $300K</t>
  </si>
  <si>
    <t>$300K to $400K</t>
  </si>
  <si>
    <t>$400K to $500K</t>
  </si>
  <si>
    <t>$500K to $600K</t>
  </si>
  <si>
    <t>$600K to $700K</t>
  </si>
  <si>
    <t>$700K to $800K</t>
  </si>
  <si>
    <t xml:space="preserve">$800K to $900K </t>
  </si>
  <si>
    <t>$900K to $1M</t>
  </si>
  <si>
    <t>&gt; $1M</t>
  </si>
  <si>
    <t>Percent of loans refinanced between 2020Q2-2021Q4</t>
  </si>
  <si>
    <t>Remaining balance in Mar-2020</t>
  </si>
  <si>
    <t>chart 1</t>
  </si>
  <si>
    <t>chart 2</t>
  </si>
  <si>
    <t>chart 3</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</si>
  <si>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</si>
  <si>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</si>
  <si>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Liberty Street Economics</t>
  </si>
  <si>
    <t>By Andrew Haughwout, Donghoon Lee, Daniel Mangrum, Joelle Scally, and Wilbert van der Klaauw</t>
  </si>
  <si>
    <r>
      <rPr>
        <b/>
        <sz val="11"/>
        <color theme="1"/>
        <rFont val="Calibri"/>
        <family val="2"/>
        <scheme val="minor"/>
      </rPr>
      <t>How to cite this post:</t>
    </r>
    <r>
      <rPr>
        <sz val="11"/>
        <color theme="1"/>
        <rFont val="Calibri"/>
        <family val="2"/>
        <scheme val="minor"/>
      </rPr>
      <t xml:space="preserve">
Jacob Goss, Daniel Mangrum, and Joelle Scally, “Student Loan Repayment during the Pandemic Forbearance,” Federal Reserve Bank of New York Liberty Street Economics, March 22, 2022, https://libertystreeteconomics.newyorkfed.org/student-loan-repayment-during-the-pandemic-forbearance.
</t>
    </r>
  </si>
  <si>
    <t>Source: New York Fed Consumer Credit Panel / Equifax</t>
  </si>
  <si>
    <t>For any questions, please contact New York Fed Research Publications.</t>
  </si>
  <si>
    <t>Please refer to our Terms of Use.</t>
  </si>
  <si>
    <t>Andrew Haughwout, Donghoon Lee, Daniel Mangrum, Joelle Scally, and Wilbert van der Klaauw, “The Great Pandemic Mortgage Refinance Boom,” Federal Reserve Bank of New York Liberty Street Economics, May 15, 2023, https://libertystreeteconomics.newyorkfed.org/2023/05/the-great-mortgage-refinance-boom/.</t>
  </si>
  <si>
    <t>The Great Pandemic Mortgage Refinance Boom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</si>
</sst>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u/>
      <sz val="11"/>
      <color theme="1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u/>
      <sz val="28"/>
      <color theme="10"/>
      <name val="Calibri"/>
      <family val="2"/>
      <scheme val="minor"/>
    </font>
    <font>
      <b/>
      <sz val="36"/>
      <color rgb="FF001F33"/>
      <name val="Roboto Condensed"/>
    </font>
    <font>
      <i/>
      <sz val="11"/>
      <color rgb="FF42515A"/>
      <name val="Georgia"/>
      <family val="1"/>
    </font>
    <font>
      <sz val="11"/>
      <color theme="4" tint="-0.24994659260841701"/>
      <name val="Calibri"/>
      <family val="2"/>
      <scheme val="minor"/>
    </font>
    <font>
      <u/>
      <sz val="22"/>
      <color theme="10"/>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14" fontId="0" fillId="0" borderId="0" xfId="0" applyNumberFormat="1"/>
    <xf numFmtId="0" fontId="1" fillId="0" borderId="0" xfId="0" applyFont="1"/>
    <xf numFmtId="2" fontId="2" fillId="0" borderId="0" xfId="0" applyNumberFormat="1" applyFont="1"/>
    <xf numFmtId="10" fontId="2" fillId="0" borderId="0" xfId="0" applyNumberFormat="1" applyFont="1"/>
    <xf numFmtId="11" fontId="0" fillId="0" borderId="0" xfId="0" applyNumberFormat="1"/>
    <xf numFmtId="0" fontId="2" fillId="0" borderId="0" xfId="0" applyFont="1"/>
    <xf numFmtId="9" fontId="2" fillId="0" borderId="0" xfId="0" applyNumberFormat="1" applyFont="1"/>
    <xf numFmtId="0" fontId="1" fillId="0" borderId="0" xfId="0" applyFont="1" applyAlignment="1">
      <alignment wrapText="1"/>
    </xf>
    <xf numFmtId="0" fontId="3" fillId="0" borderId="0" xfId="0" applyFont="1" applyAlignment="1">
      <alignment horizontal="left" vertical="top" wrapText="1"/>
    </xf>
    <xf numFmtId="0" fontId="0" fillId="2" borderId="0" xfId="0" applyFill="1"/>
    <xf numFmtId="0" fontId="5" fillId="2" borderId="0" xfId="0" applyFont="1" applyFill="1" applyAlignment="1">
      <alignment wrapText="1"/>
    </xf>
    <xf numFmtId="0" fontId="8" fillId="2" borderId="0" xfId="1" applyFont="1" applyFill="1" applyBorder="1"/>
    <xf numFmtId="0" fontId="0" fillId="3" borderId="0" xfId="0" applyFill="1"/>
    <xf numFmtId="0" fontId="9" fillId="0" borderId="0" xfId="1" applyFont="1" applyAlignment="1">
      <alignment horizontal="left"/>
    </xf>
    <xf numFmtId="0" fontId="0" fillId="3" borderId="1" xfId="0" applyFill="1" applyBorder="1"/>
    <xf numFmtId="0" fontId="10" fillId="0" borderId="2" xfId="0" applyFont="1" applyBorder="1" applyAlignment="1">
      <alignment horizontal="left"/>
    </xf>
    <xf numFmtId="0" fontId="0" fillId="3" borderId="2" xfId="0" applyFill="1" applyBorder="1"/>
    <xf numFmtId="0" fontId="0" fillId="0" borderId="1" xfId="0" applyBorder="1" applyAlignment="1">
      <alignment horizontal="left"/>
    </xf>
    <xf numFmtId="0" fontId="0" fillId="0" borderId="2" xfId="0" applyBorder="1" applyAlignment="1">
      <alignment horizontal="left"/>
    </xf>
    <xf numFmtId="0" fontId="0" fillId="0" borderId="3" xfId="0" applyBorder="1"/>
    <xf numFmtId="0" fontId="11" fillId="0" borderId="0" xfId="0" applyFont="1"/>
    <xf numFmtId="0" fontId="0" fillId="3" borderId="0" xfId="0" applyFill="1" applyAlignment="1">
      <alignment horizontal="left" vertical="center" wrapText="1"/>
    </xf>
    <xf numFmtId="0" fontId="4" fillId="0" borderId="4" xfId="1" applyBorder="1" applyAlignment="1">
      <alignment horizontal="left" vertical="top" wrapText="1"/>
    </xf>
    <xf numFmtId="0" fontId="4" fillId="0" borderId="0" xfId="1" applyBorder="1" applyAlignment="1">
      <alignment horizontal="left" vertical="top" wrapText="1"/>
    </xf>
    <xf numFmtId="0" fontId="4" fillId="0" borderId="5" xfId="1" applyBorder="1" applyAlignment="1">
      <alignment horizontal="left" vertical="top" wrapText="1"/>
    </xf>
    <xf numFmtId="0" fontId="0" fillId="0" borderId="6" xfId="0" applyBorder="1"/>
    <xf numFmtId="0" fontId="12" fillId="3" borderId="0" xfId="1" applyFont="1" applyFill="1" applyBorder="1"/>
    <xf numFmtId="0" fontId="12" fillId="0" borderId="4" xfId="1" applyFont="1" applyBorder="1"/>
    <xf numFmtId="0" fontId="12" fillId="0" borderId="7" xfId="1" applyFont="1" applyBorder="1"/>
    <xf numFmtId="0" fontId="0" fillId="3" borderId="8" xfId="0" applyFill="1" applyBorder="1"/>
    <xf numFmtId="0" fontId="13" fillId="0" borderId="2" xfId="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3AE57130-276B-4BC0-B170-A26A532BB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F6BFCFF0-A9A4-48ED-A587-B4EECE104F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4" name="Picture 3">
          <a:extLst>
            <a:ext uri="{FF2B5EF4-FFF2-40B4-BE49-F238E27FC236}">
              <a16:creationId xmlns:a16="http://schemas.microsoft.com/office/drawing/2014/main" id="{5D05254C-5AB6-47C2-B154-4A0D7F82E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2"/>
          <a:extLst>
            <a:ext uri="{FF2B5EF4-FFF2-40B4-BE49-F238E27FC236}">
              <a16:creationId xmlns:a16="http://schemas.microsoft.com/office/drawing/2014/main" id="{8A522D59-46E8-4E05-8AC8-C2469A8E2A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libertystreeteconomics.newyorkfed.org/" TargetMode="External"/><Relationship Id="rId7" Type="http://schemas.openxmlformats.org/officeDocument/2006/relationships/printerSettings" Target="../printerSettings/printerSettings1.bin"/><Relationship Id="rId2" Type="http://schemas.openxmlformats.org/officeDocument/2006/relationships/hyperlink" Target="https://libertystreeteconomics.newyorkfed.org/2022/05/refinance-boom-winds-down/" TargetMode="External"/><Relationship Id="rId1" Type="http://schemas.openxmlformats.org/officeDocument/2006/relationships/hyperlink" Target="https://www.newyorkfed.org/research.html" TargetMode="External"/><Relationship Id="rId6" Type="http://schemas.openxmlformats.org/officeDocument/2006/relationships/hyperlink" Target="https://libertystreeteconomics.newyorkfed.org/2023/05/the-great-mortgage-refinance-boom/" TargetMode="External"/><Relationship Id="rId5" Type="http://schemas.openxmlformats.org/officeDocument/2006/relationships/hyperlink" Target="mailto:Robert.Powell@ny.frb.org" TargetMode="External"/><Relationship Id="rId4" Type="http://schemas.openxmlformats.org/officeDocument/2006/relationships/hyperlink" Target="https://www.newyorkfed.org/privacy/termsofus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FC421-4562-4015-92C7-D89358F0E091}">
  <dimension ref="A1:O19"/>
  <sheetViews>
    <sheetView tabSelected="1" topLeftCell="A7" workbookViewId="0">
      <selection activeCell="D8" sqref="D8:L8"/>
    </sheetView>
  </sheetViews>
  <sheetFormatPr defaultRowHeight="15" x14ac:dyDescent="0.25"/>
  <sheetData>
    <row r="1" spans="1:15" s="10" customFormat="1" x14ac:dyDescent="0.25"/>
    <row r="2" spans="1:15" s="10" customFormat="1" ht="15" customHeight="1" x14ac:dyDescent="0.25">
      <c r="D2" s="11" t="s">
        <v>26</v>
      </c>
      <c r="E2" s="11"/>
      <c r="F2" s="11"/>
      <c r="G2" s="11"/>
      <c r="H2" s="11"/>
      <c r="I2" s="11"/>
      <c r="J2" s="11"/>
      <c r="K2" s="11"/>
    </row>
    <row r="3" spans="1:15" s="10" customFormat="1" ht="15" customHeight="1" x14ac:dyDescent="0.25">
      <c r="D3" s="11"/>
      <c r="E3" s="11"/>
      <c r="F3" s="11"/>
      <c r="G3" s="11"/>
      <c r="H3" s="11"/>
      <c r="I3" s="11"/>
      <c r="J3" s="11"/>
      <c r="K3" s="11"/>
    </row>
    <row r="4" spans="1:15" s="10" customFormat="1" x14ac:dyDescent="0.25">
      <c r="D4" s="12" t="s">
        <v>27</v>
      </c>
    </row>
    <row r="5" spans="1:15" s="13" customFormat="1" x14ac:dyDescent="0.25"/>
    <row r="6" spans="1:15" s="13" customFormat="1" ht="36" x14ac:dyDescent="0.55000000000000004">
      <c r="D6" s="14" t="s">
        <v>28</v>
      </c>
      <c r="E6" s="14"/>
      <c r="F6" s="14"/>
      <c r="G6" s="14"/>
      <c r="H6" s="14"/>
      <c r="I6" s="14"/>
      <c r="J6" s="14"/>
      <c r="K6" s="14"/>
      <c r="L6" s="14"/>
      <c r="M6" s="14"/>
    </row>
    <row r="7" spans="1:15" s="17" customFormat="1" ht="45.75" x14ac:dyDescent="0.65">
      <c r="A7" s="15"/>
      <c r="B7" s="15"/>
      <c r="C7" s="15"/>
      <c r="D7" s="16"/>
      <c r="E7" s="16"/>
      <c r="F7" s="16"/>
      <c r="G7" s="16"/>
      <c r="H7" s="16"/>
      <c r="I7" s="16"/>
      <c r="J7" s="16"/>
      <c r="K7" s="16"/>
      <c r="L7" s="16"/>
      <c r="M7" s="16"/>
    </row>
    <row r="8" spans="1:15" s="19" customFormat="1" ht="28.5" x14ac:dyDescent="0.25">
      <c r="A8" s="18"/>
      <c r="B8" s="18"/>
      <c r="C8" s="18"/>
      <c r="D8" s="31" t="s">
        <v>35</v>
      </c>
      <c r="E8" s="31"/>
      <c r="F8" s="31"/>
      <c r="G8" s="31"/>
      <c r="H8" s="31"/>
      <c r="I8" s="31"/>
      <c r="J8" s="31"/>
      <c r="K8" s="31"/>
      <c r="L8" s="31"/>
    </row>
    <row r="9" spans="1:15" s="19" customFormat="1" x14ac:dyDescent="0.25"/>
    <row r="10" spans="1:15" s="20" customFormat="1" x14ac:dyDescent="0.25">
      <c r="D10" s="21" t="s">
        <v>29</v>
      </c>
    </row>
    <row r="11" spans="1:15" s="20" customFormat="1" x14ac:dyDescent="0.25"/>
    <row r="12" spans="1:15" s="20" customFormat="1" x14ac:dyDescent="0.25"/>
    <row r="13" spans="1:15" s="20" customFormat="1" x14ac:dyDescent="0.25">
      <c r="D13" s="22" t="s">
        <v>30</v>
      </c>
      <c r="E13" s="22"/>
      <c r="F13" s="22"/>
      <c r="G13" s="22"/>
      <c r="H13" s="22"/>
      <c r="I13" s="22"/>
      <c r="J13" s="22"/>
      <c r="K13" s="22"/>
      <c r="L13" s="22"/>
      <c r="M13" s="22"/>
      <c r="N13" s="22"/>
      <c r="O13" s="22"/>
    </row>
    <row r="14" spans="1:15" s="20" customFormat="1" ht="57.75" customHeight="1" x14ac:dyDescent="0.25">
      <c r="D14" s="23" t="s">
        <v>34</v>
      </c>
      <c r="E14" s="24"/>
      <c r="F14" s="24"/>
      <c r="G14" s="24"/>
      <c r="H14" s="24"/>
      <c r="I14" s="24"/>
      <c r="J14" s="24"/>
      <c r="K14" s="24"/>
      <c r="L14" s="24"/>
      <c r="M14" s="24"/>
      <c r="N14" s="25"/>
    </row>
    <row r="15" spans="1:15" s="20" customFormat="1" ht="23.25" customHeight="1" x14ac:dyDescent="0.25">
      <c r="B15" s="26"/>
      <c r="C15" s="26"/>
      <c r="D15" s="27" t="s">
        <v>31</v>
      </c>
      <c r="E15" s="13"/>
      <c r="F15" s="13"/>
      <c r="G15" s="13"/>
      <c r="H15" s="13"/>
      <c r="I15" s="13"/>
      <c r="J15" s="13"/>
    </row>
    <row r="16" spans="1:15" s="20" customFormat="1" ht="23.25" customHeight="1" x14ac:dyDescent="0.25">
      <c r="B16" s="26"/>
      <c r="C16" s="26"/>
      <c r="D16" s="28"/>
      <c r="E16" s="13"/>
      <c r="F16" s="13"/>
      <c r="G16" s="13"/>
      <c r="H16" s="13"/>
      <c r="I16" s="13"/>
      <c r="J16" s="13"/>
    </row>
    <row r="17" spans="2:10" s="20" customFormat="1" ht="23.25" customHeight="1" x14ac:dyDescent="0.25">
      <c r="B17" s="26"/>
      <c r="C17" s="26"/>
      <c r="D17" s="29" t="s">
        <v>32</v>
      </c>
      <c r="E17" s="30"/>
      <c r="F17" s="30"/>
      <c r="G17" s="13"/>
      <c r="H17" s="13"/>
      <c r="I17" s="13"/>
      <c r="J17" s="13"/>
    </row>
    <row r="18" spans="2:10" s="20" customFormat="1" x14ac:dyDescent="0.25">
      <c r="D18" s="27" t="s">
        <v>33</v>
      </c>
      <c r="E18" s="13"/>
      <c r="F18" s="13"/>
      <c r="G18" s="13"/>
      <c r="H18" s="13"/>
      <c r="I18" s="13"/>
      <c r="J18" s="13"/>
    </row>
    <row r="19" spans="2:10" s="20" customFormat="1" x14ac:dyDescent="0.25"/>
  </sheetData>
  <mergeCells count="5">
    <mergeCell ref="D2:K3"/>
    <mergeCell ref="D6:M6"/>
    <mergeCell ref="D8:L8"/>
    <mergeCell ref="D13:O13"/>
    <mergeCell ref="D14:N14"/>
  </mergeCells>
  <hyperlinks>
    <hyperlink ref="D4" r:id="rId1" xr:uid="{82AB7AF4-3B04-4132-BD50-70DBC8C67492}"/>
    <hyperlink ref="D8" r:id="rId2" display="https://libertystreeteconomics.newyorkfed.org/2022/05/refinance-boom-winds-down/" xr:uid="{2FB484AE-6F2A-4EBF-88AB-09FB9D74BF7A}"/>
    <hyperlink ref="D6:M6" r:id="rId3" display="Liberty Street Economics" xr:uid="{00F4D4D5-389B-428C-9E0C-1F4D9D314BC7}"/>
    <hyperlink ref="D18" r:id="rId4" display="Terms of Use:" xr:uid="{309E6FC6-6C12-46C7-917A-40B5C32E1892}"/>
    <hyperlink ref="D17" r:id="rId5" xr:uid="{34BDC876-B70B-414C-93A4-36B130FC58D7}"/>
    <hyperlink ref="D8:L8" r:id="rId6" display="The Great Pandemic Mortgage Refinance Boom" xr:uid="{CB5B12AB-8780-4E88-BA29-7B3C5DF3E16E}"/>
  </hyperlinks>
  <pageMargins left="0.7" right="0.7" top="0.75" bottom="0.75" header="0.3" footer="0.3"/>
  <pageSetup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ACA0-D2B0-4ACA-8B05-A00B385E24DB}">
  <dimension ref="A1:M108"/>
  <sheetViews>
    <sheetView workbookViewId="0">
      <selection activeCell="D8" sqref="D8"/>
    </sheetView>
  </sheetViews>
  <sheetFormatPr defaultRowHeight="15" x14ac:dyDescent="0.25"/>
  <cols>
    <col min="1" max="1" width="9.7109375" bestFit="1" customWidth="1"/>
    <col min="2" max="2" width="9" bestFit="1" customWidth="1"/>
    <col min="5" max="5" width="20.140625" customWidth="1"/>
    <col min="6" max="6" width="14.7109375" customWidth="1"/>
    <col min="7" max="7" width="15.5703125" customWidth="1"/>
    <col min="12" max="12" width="15.85546875" customWidth="1"/>
  </cols>
  <sheetData>
    <row r="1" spans="1:13" s="10" customFormat="1" x14ac:dyDescent="0.25"/>
    <row r="2" spans="1:13" s="10" customFormat="1" ht="15" customHeight="1" x14ac:dyDescent="0.25">
      <c r="D2" s="11" t="s">
        <v>26</v>
      </c>
      <c r="E2" s="11"/>
      <c r="F2" s="11"/>
      <c r="G2" s="11"/>
      <c r="H2" s="11"/>
      <c r="I2" s="11"/>
      <c r="J2" s="11"/>
      <c r="K2" s="11"/>
    </row>
    <row r="3" spans="1:13" s="10" customFormat="1" ht="15" customHeight="1" x14ac:dyDescent="0.25">
      <c r="D3" s="11"/>
      <c r="E3" s="11"/>
      <c r="F3" s="11"/>
      <c r="G3" s="11"/>
      <c r="H3" s="11"/>
      <c r="I3" s="11"/>
      <c r="J3" s="11"/>
      <c r="K3" s="11"/>
    </row>
    <row r="4" spans="1:13" s="10" customFormat="1" x14ac:dyDescent="0.25">
      <c r="D4" s="12" t="s">
        <v>27</v>
      </c>
    </row>
    <row r="6" spans="1:13" ht="15" customHeight="1" x14ac:dyDescent="0.25">
      <c r="A6" s="2" t="s">
        <v>2</v>
      </c>
      <c r="F6" s="2" t="s">
        <v>8</v>
      </c>
      <c r="G6" s="2"/>
      <c r="L6" s="2" t="s">
        <v>21</v>
      </c>
    </row>
    <row r="7" spans="1:13" x14ac:dyDescent="0.25">
      <c r="A7" t="s">
        <v>3</v>
      </c>
      <c r="F7" t="s">
        <v>3</v>
      </c>
      <c r="L7" t="s">
        <v>22</v>
      </c>
    </row>
    <row r="8" spans="1:13" x14ac:dyDescent="0.25">
      <c r="A8" t="s">
        <v>4</v>
      </c>
      <c r="F8" t="s">
        <v>4</v>
      </c>
      <c r="L8" t="s">
        <v>4</v>
      </c>
    </row>
    <row r="10" spans="1:13" ht="147" customHeight="1" x14ac:dyDescent="0.25">
      <c r="A10" s="9" t="s">
        <v>5</v>
      </c>
      <c r="B10" s="9"/>
      <c r="C10" s="9"/>
    </row>
    <row r="11" spans="1:13" x14ac:dyDescent="0.25">
      <c r="A11" s="8" t="s">
        <v>23</v>
      </c>
      <c r="B11" s="2"/>
      <c r="C11" s="2"/>
      <c r="D11" s="2"/>
      <c r="E11" s="2"/>
      <c r="F11" s="2" t="s">
        <v>24</v>
      </c>
      <c r="G11" s="2"/>
      <c r="H11" s="2"/>
      <c r="I11" s="2"/>
      <c r="J11" s="2"/>
      <c r="K11" s="2"/>
      <c r="L11" s="2" t="s">
        <v>25</v>
      </c>
      <c r="M11" s="2"/>
    </row>
    <row r="12" spans="1:13" x14ac:dyDescent="0.25">
      <c r="A12" s="2"/>
      <c r="B12" s="2" t="s">
        <v>0</v>
      </c>
      <c r="C12" s="2" t="s">
        <v>1</v>
      </c>
      <c r="D12" s="2"/>
      <c r="E12" s="2"/>
      <c r="F12" s="2"/>
      <c r="G12" s="2" t="s">
        <v>6</v>
      </c>
      <c r="H12" s="2" t="s">
        <v>7</v>
      </c>
      <c r="I12" s="2"/>
      <c r="J12" s="2"/>
      <c r="K12" s="2"/>
      <c r="L12" s="2"/>
      <c r="M12" s="2" t="s">
        <v>9</v>
      </c>
    </row>
    <row r="13" spans="1:13" x14ac:dyDescent="0.25">
      <c r="A13" s="1">
        <v>36586</v>
      </c>
      <c r="B13">
        <v>240</v>
      </c>
      <c r="C13">
        <v>50.43</v>
      </c>
      <c r="F13" s="1">
        <v>36586</v>
      </c>
      <c r="G13" s="3">
        <f>11000000*(1000/1000000000)</f>
        <v>11</v>
      </c>
      <c r="H13" s="4">
        <v>6.0818842783291402E-3</v>
      </c>
      <c r="L13" s="1" t="s">
        <v>10</v>
      </c>
      <c r="M13" s="7">
        <v>8.1800659893502339E-2</v>
      </c>
    </row>
    <row r="14" spans="1:13" x14ac:dyDescent="0.25">
      <c r="A14" s="1">
        <v>36678</v>
      </c>
      <c r="B14">
        <v>191.2</v>
      </c>
      <c r="C14">
        <v>33.99</v>
      </c>
      <c r="F14" s="1">
        <v>36678</v>
      </c>
      <c r="G14" s="3">
        <f>7595557*(1000/1000000000)</f>
        <v>7.5955569999999994</v>
      </c>
      <c r="H14" s="4">
        <v>4.1303209668429423E-3</v>
      </c>
      <c r="L14" s="1" t="s">
        <v>11</v>
      </c>
      <c r="M14" s="7">
        <v>0.22476234909896775</v>
      </c>
    </row>
    <row r="15" spans="1:13" x14ac:dyDescent="0.25">
      <c r="A15" s="1">
        <v>36770</v>
      </c>
      <c r="B15">
        <v>229.6</v>
      </c>
      <c r="C15">
        <v>54.22</v>
      </c>
      <c r="F15" s="1">
        <v>36770</v>
      </c>
      <c r="G15" s="3">
        <f>8938078*(1000/1000000000)</f>
        <v>8.9380779999999991</v>
      </c>
      <c r="H15" s="4">
        <v>4.7674834649029229E-3</v>
      </c>
      <c r="L15" s="1" t="s">
        <v>12</v>
      </c>
      <c r="M15" s="7">
        <v>0.36143448275862067</v>
      </c>
    </row>
    <row r="16" spans="1:13" x14ac:dyDescent="0.25">
      <c r="A16" s="1">
        <v>36861</v>
      </c>
      <c r="B16">
        <v>268.2</v>
      </c>
      <c r="C16">
        <v>46.74</v>
      </c>
      <c r="F16" s="1">
        <v>36861</v>
      </c>
      <c r="G16" s="3">
        <f>8710713*(1000/1000000000)</f>
        <v>8.7107130000000002</v>
      </c>
      <c r="H16" s="4">
        <v>4.5914124948937237E-3</v>
      </c>
      <c r="L16" s="1" t="s">
        <v>13</v>
      </c>
      <c r="M16" s="7">
        <v>0.44137305992976095</v>
      </c>
    </row>
    <row r="17" spans="1:13" x14ac:dyDescent="0.25">
      <c r="A17" s="1">
        <v>36951</v>
      </c>
      <c r="B17">
        <v>259.7</v>
      </c>
      <c r="C17">
        <v>64.89</v>
      </c>
      <c r="F17" s="1">
        <v>36951</v>
      </c>
      <c r="G17" s="3">
        <f>11400000*(1000/1000000000)</f>
        <v>11.4</v>
      </c>
      <c r="H17" s="4">
        <v>5.9164688023043092E-3</v>
      </c>
      <c r="L17" s="1" t="s">
        <v>14</v>
      </c>
      <c r="M17" s="7">
        <v>0.48752900232018559</v>
      </c>
    </row>
    <row r="18" spans="1:13" x14ac:dyDescent="0.25">
      <c r="A18" s="1">
        <v>37043</v>
      </c>
      <c r="B18">
        <v>221.9</v>
      </c>
      <c r="C18">
        <v>104</v>
      </c>
      <c r="F18" s="1">
        <v>37043</v>
      </c>
      <c r="G18" s="3">
        <f>16300000*(1000/1000000000)</f>
        <v>16.3</v>
      </c>
      <c r="H18" s="4">
        <v>8.4416593298461857E-3</v>
      </c>
      <c r="L18" s="1" t="s">
        <v>15</v>
      </c>
      <c r="M18" s="7">
        <v>0.46381182147165262</v>
      </c>
    </row>
    <row r="19" spans="1:13" x14ac:dyDescent="0.25">
      <c r="A19" s="1">
        <v>37135</v>
      </c>
      <c r="B19">
        <v>304.3</v>
      </c>
      <c r="C19">
        <v>188</v>
      </c>
      <c r="F19" s="1">
        <v>37135</v>
      </c>
      <c r="G19" s="3">
        <f>32100000*(1000/1000000000)</f>
        <v>32.1</v>
      </c>
      <c r="H19" s="4">
        <v>1.6261192234140905E-2</v>
      </c>
      <c r="L19" s="1" t="s">
        <v>16</v>
      </c>
      <c r="M19" s="7">
        <v>0.43843498273878023</v>
      </c>
    </row>
    <row r="20" spans="1:13" x14ac:dyDescent="0.25">
      <c r="A20" s="1">
        <v>37226</v>
      </c>
      <c r="B20">
        <v>287.3</v>
      </c>
      <c r="C20">
        <v>188.7</v>
      </c>
      <c r="F20" s="1">
        <v>37226</v>
      </c>
      <c r="G20" s="3">
        <f>32600000*(1000/1000000000)</f>
        <v>32.6</v>
      </c>
      <c r="H20" s="4">
        <v>1.6786601614294357E-2</v>
      </c>
      <c r="L20" s="1" t="s">
        <v>17</v>
      </c>
      <c r="M20" s="7">
        <v>0.35742971887550201</v>
      </c>
    </row>
    <row r="21" spans="1:13" x14ac:dyDescent="0.25">
      <c r="A21" s="1">
        <v>37316</v>
      </c>
      <c r="B21">
        <v>353.1</v>
      </c>
      <c r="C21">
        <v>320.60000000000002</v>
      </c>
      <c r="F21" s="1">
        <v>37316</v>
      </c>
      <c r="G21" s="3">
        <f>47000000*(1000/1000000000)</f>
        <v>47</v>
      </c>
      <c r="H21" s="4">
        <v>2.3599116288411329E-2</v>
      </c>
      <c r="L21" s="1" t="s">
        <v>18</v>
      </c>
      <c r="M21" s="7">
        <v>0.3493975903614458</v>
      </c>
    </row>
    <row r="22" spans="1:13" x14ac:dyDescent="0.25">
      <c r="A22" s="1">
        <v>37408</v>
      </c>
      <c r="B22">
        <v>261.3</v>
      </c>
      <c r="C22">
        <v>257.8</v>
      </c>
      <c r="F22" s="1">
        <v>37408</v>
      </c>
      <c r="G22" s="3">
        <f>40300000*(1000/1000000000)</f>
        <v>40.299999999999997</v>
      </c>
      <c r="H22" s="4">
        <v>1.9925095484716264E-2</v>
      </c>
      <c r="L22" s="1" t="s">
        <v>19</v>
      </c>
      <c r="M22" s="7">
        <v>0.34536082474226804</v>
      </c>
    </row>
    <row r="23" spans="1:13" x14ac:dyDescent="0.25">
      <c r="A23" s="1">
        <v>37500</v>
      </c>
      <c r="B23">
        <v>348.9</v>
      </c>
      <c r="C23">
        <v>238.5</v>
      </c>
      <c r="F23" s="1">
        <v>37500</v>
      </c>
      <c r="G23" s="3">
        <f>38900000*(1000/1000000000)</f>
        <v>38.9</v>
      </c>
      <c r="H23" s="4">
        <v>1.9105621178261829E-2</v>
      </c>
      <c r="L23" s="1" t="s">
        <v>20</v>
      </c>
      <c r="M23" s="7">
        <v>0.3231597845601436</v>
      </c>
    </row>
    <row r="24" spans="1:13" x14ac:dyDescent="0.25">
      <c r="A24" s="1">
        <v>37591</v>
      </c>
      <c r="B24">
        <v>318.2</v>
      </c>
      <c r="C24">
        <v>346.5</v>
      </c>
      <c r="F24" s="1">
        <v>37591</v>
      </c>
      <c r="G24" s="3">
        <f>44800000*(1000/1000000000)</f>
        <v>44.8</v>
      </c>
      <c r="H24" s="4">
        <v>2.1762891355565809E-2</v>
      </c>
    </row>
    <row r="25" spans="1:13" x14ac:dyDescent="0.25">
      <c r="A25" s="1">
        <v>37681</v>
      </c>
      <c r="B25">
        <v>338.2</v>
      </c>
      <c r="C25">
        <v>590.70000000000005</v>
      </c>
      <c r="F25" s="1">
        <v>37681</v>
      </c>
      <c r="G25" s="3">
        <f>71100000*(1000/1000000000)</f>
        <v>71.099999999999994</v>
      </c>
      <c r="H25" s="4">
        <v>3.4296877826417278E-2</v>
      </c>
    </row>
    <row r="26" spans="1:13" x14ac:dyDescent="0.25">
      <c r="A26" s="1">
        <v>37773</v>
      </c>
      <c r="B26">
        <v>299.10000000000002</v>
      </c>
      <c r="C26">
        <v>675.3</v>
      </c>
      <c r="F26" s="1">
        <v>37773</v>
      </c>
      <c r="G26" s="3">
        <f>78000000*(1000/1000000000)</f>
        <v>78</v>
      </c>
      <c r="H26" s="4">
        <v>3.7121644774414625E-2</v>
      </c>
    </row>
    <row r="27" spans="1:13" x14ac:dyDescent="0.25">
      <c r="A27" s="1">
        <v>37865</v>
      </c>
      <c r="B27">
        <v>352.4</v>
      </c>
      <c r="C27">
        <v>664.1</v>
      </c>
      <c r="F27" s="1">
        <v>37865</v>
      </c>
      <c r="G27" s="3">
        <f>71900000*(1000/1000000000)</f>
        <v>71.899999999999991</v>
      </c>
      <c r="H27" s="4">
        <v>3.3409616300547146E-2</v>
      </c>
    </row>
    <row r="28" spans="1:13" x14ac:dyDescent="0.25">
      <c r="A28" s="1">
        <v>37956</v>
      </c>
      <c r="B28">
        <v>388.5</v>
      </c>
      <c r="C28">
        <v>583.1</v>
      </c>
      <c r="F28" s="1">
        <v>37956</v>
      </c>
      <c r="G28" s="3">
        <f>74200000*(1000/1000000000)</f>
        <v>74.2</v>
      </c>
      <c r="H28" s="4">
        <v>3.4215228543431897E-2</v>
      </c>
    </row>
    <row r="29" spans="1:13" x14ac:dyDescent="0.25">
      <c r="A29" s="1">
        <v>38047</v>
      </c>
      <c r="B29">
        <v>319.5</v>
      </c>
      <c r="C29">
        <v>296.5</v>
      </c>
      <c r="F29" s="1">
        <v>38047</v>
      </c>
      <c r="G29" s="3">
        <f>47700000*(1000/1000000000)</f>
        <v>47.699999999999996</v>
      </c>
      <c r="H29" s="4">
        <v>2.1730959784057126E-2</v>
      </c>
    </row>
    <row r="30" spans="1:13" x14ac:dyDescent="0.25">
      <c r="A30" s="1">
        <v>38139</v>
      </c>
      <c r="B30">
        <v>340.2</v>
      </c>
      <c r="C30">
        <v>327.39999999999998</v>
      </c>
      <c r="F30" s="1">
        <v>38139</v>
      </c>
      <c r="G30" s="3">
        <f>49300000*(1000/1000000000)</f>
        <v>49.3</v>
      </c>
      <c r="H30" s="4">
        <v>2.2080394132795878E-2</v>
      </c>
    </row>
    <row r="31" spans="1:13" x14ac:dyDescent="0.25">
      <c r="A31" s="1">
        <v>38231</v>
      </c>
      <c r="B31">
        <v>412.3</v>
      </c>
      <c r="C31">
        <v>342.3</v>
      </c>
      <c r="F31" s="1">
        <v>38231</v>
      </c>
      <c r="G31" s="3">
        <f>50100000*(1000/1000000000)</f>
        <v>50.099999999999994</v>
      </c>
      <c r="H31" s="4">
        <v>2.217010354898663E-2</v>
      </c>
    </row>
    <row r="32" spans="1:13" x14ac:dyDescent="0.25">
      <c r="A32" s="1">
        <v>38322</v>
      </c>
      <c r="B32">
        <v>396.4</v>
      </c>
      <c r="C32">
        <v>240.4</v>
      </c>
      <c r="F32" s="1">
        <v>38322</v>
      </c>
      <c r="G32" s="3">
        <f>50200000*(1000/1000000000)</f>
        <v>50.199999999999996</v>
      </c>
      <c r="H32" s="4">
        <v>2.1751140093373915E-2</v>
      </c>
    </row>
    <row r="33" spans="1:8" x14ac:dyDescent="0.25">
      <c r="A33" s="1">
        <v>38412</v>
      </c>
      <c r="B33">
        <v>318</v>
      </c>
      <c r="C33">
        <v>313.60000000000002</v>
      </c>
      <c r="F33" s="1">
        <v>38412</v>
      </c>
      <c r="G33" s="3">
        <f>43400000*(1000/1000000000)</f>
        <v>43.4</v>
      </c>
      <c r="H33" s="4">
        <v>1.8925312605610003E-2</v>
      </c>
    </row>
    <row r="34" spans="1:8" x14ac:dyDescent="0.25">
      <c r="A34" s="1">
        <v>38504</v>
      </c>
      <c r="B34">
        <v>347.7</v>
      </c>
      <c r="C34">
        <v>249.8</v>
      </c>
      <c r="F34" s="1">
        <v>38504</v>
      </c>
      <c r="G34" s="3">
        <f>53500000*(1000/1000000000)</f>
        <v>53.5</v>
      </c>
      <c r="H34" s="4">
        <v>2.2960141623303471E-2</v>
      </c>
    </row>
    <row r="35" spans="1:8" x14ac:dyDescent="0.25">
      <c r="A35" s="1">
        <v>38596</v>
      </c>
      <c r="B35">
        <v>431.1</v>
      </c>
      <c r="C35">
        <v>291.10000000000002</v>
      </c>
      <c r="F35" s="1">
        <v>38596</v>
      </c>
      <c r="G35" s="3">
        <f>63700000*(1000/1000000000)</f>
        <v>63.699999999999996</v>
      </c>
      <c r="H35" s="4">
        <v>2.6932752679534065E-2</v>
      </c>
    </row>
    <row r="36" spans="1:8" x14ac:dyDescent="0.25">
      <c r="A36" s="1">
        <v>38687</v>
      </c>
      <c r="B36">
        <v>443.2</v>
      </c>
      <c r="C36">
        <v>308.10000000000002</v>
      </c>
      <c r="F36" s="1">
        <v>38687</v>
      </c>
      <c r="G36" s="3">
        <f>76900000*(1000/1000000000)</f>
        <v>76.899999999999991</v>
      </c>
      <c r="H36" s="4">
        <v>3.1988685406462214E-2</v>
      </c>
    </row>
    <row r="37" spans="1:8" x14ac:dyDescent="0.25">
      <c r="A37" s="1">
        <v>38777</v>
      </c>
      <c r="B37">
        <v>365.1</v>
      </c>
      <c r="C37">
        <v>261.60000000000002</v>
      </c>
      <c r="F37" s="1">
        <v>38777</v>
      </c>
      <c r="G37" s="3">
        <f>65600000*(1000/1000000000)</f>
        <v>65.599999999999994</v>
      </c>
      <c r="H37" s="4">
        <v>2.6610956736912557E-2</v>
      </c>
    </row>
    <row r="38" spans="1:8" x14ac:dyDescent="0.25">
      <c r="A38" s="1">
        <v>38869</v>
      </c>
      <c r="B38">
        <v>408.9</v>
      </c>
      <c r="C38">
        <v>257.5</v>
      </c>
      <c r="F38" s="1">
        <v>38869</v>
      </c>
      <c r="G38" s="3">
        <f>57900000*(1000/1000000000)</f>
        <v>57.9</v>
      </c>
      <c r="H38" s="4">
        <v>2.3194792188282423E-2</v>
      </c>
    </row>
    <row r="39" spans="1:8" x14ac:dyDescent="0.25">
      <c r="A39" s="1">
        <v>38961</v>
      </c>
      <c r="B39">
        <v>433.7</v>
      </c>
      <c r="C39">
        <v>218.2</v>
      </c>
      <c r="F39" s="1">
        <v>38961</v>
      </c>
      <c r="G39" s="3">
        <f>49600000*(1000/1000000000)</f>
        <v>49.599999999999994</v>
      </c>
      <c r="H39" s="4">
        <v>1.9688203947564275E-2</v>
      </c>
    </row>
    <row r="40" spans="1:8" x14ac:dyDescent="0.25">
      <c r="A40" s="1">
        <v>39052</v>
      </c>
      <c r="B40">
        <v>381.3</v>
      </c>
      <c r="C40">
        <v>200.5</v>
      </c>
      <c r="F40" s="1">
        <v>39052</v>
      </c>
      <c r="G40" s="3">
        <f>46900000*(1000/1000000000)</f>
        <v>46.9</v>
      </c>
      <c r="H40" s="4">
        <v>1.8413277975717245E-2</v>
      </c>
    </row>
    <row r="41" spans="1:8" x14ac:dyDescent="0.25">
      <c r="A41" s="1">
        <v>39142</v>
      </c>
      <c r="B41">
        <v>420.9</v>
      </c>
      <c r="C41">
        <v>276.5</v>
      </c>
      <c r="F41" s="1">
        <v>39142</v>
      </c>
      <c r="G41" s="3">
        <f>62400000*(1000/1000000000)</f>
        <v>62.4</v>
      </c>
      <c r="H41" s="4">
        <v>2.4098479362780593E-2</v>
      </c>
    </row>
    <row r="42" spans="1:8" x14ac:dyDescent="0.25">
      <c r="A42" s="1">
        <v>39234</v>
      </c>
      <c r="B42">
        <v>351.9</v>
      </c>
      <c r="C42">
        <v>242.1</v>
      </c>
      <c r="F42" s="1">
        <v>39234</v>
      </c>
      <c r="G42" s="3">
        <f>50800000*(1000/1000000000)</f>
        <v>50.8</v>
      </c>
      <c r="H42" s="4">
        <v>1.9365660262275083E-2</v>
      </c>
    </row>
    <row r="43" spans="1:8" x14ac:dyDescent="0.25">
      <c r="A43" s="1">
        <v>39326</v>
      </c>
      <c r="B43">
        <v>387.6</v>
      </c>
      <c r="C43">
        <v>257.60000000000002</v>
      </c>
      <c r="F43" s="1">
        <v>39326</v>
      </c>
      <c r="G43" s="3">
        <f>53900000*(1000/1000000000)</f>
        <v>53.9</v>
      </c>
      <c r="H43" s="4">
        <v>2.0396579126617725E-2</v>
      </c>
    </row>
    <row r="44" spans="1:8" x14ac:dyDescent="0.25">
      <c r="A44" s="1">
        <v>39417</v>
      </c>
      <c r="B44">
        <v>305.8</v>
      </c>
      <c r="C44">
        <v>178.9</v>
      </c>
      <c r="F44" s="1">
        <v>39417</v>
      </c>
      <c r="G44" s="3">
        <f>36000000*(1000/1000000000)</f>
        <v>36</v>
      </c>
      <c r="H44" s="4">
        <v>1.3464487414444403E-2</v>
      </c>
    </row>
    <row r="45" spans="1:8" x14ac:dyDescent="0.25">
      <c r="A45" s="1">
        <v>39508</v>
      </c>
      <c r="B45">
        <v>252.8</v>
      </c>
      <c r="C45">
        <v>180</v>
      </c>
      <c r="F45" s="1">
        <v>39508</v>
      </c>
      <c r="G45" s="3">
        <f>35200000*(1000/1000000000)</f>
        <v>35.199999999999996</v>
      </c>
      <c r="H45" s="4">
        <v>1.3036795614896018E-2</v>
      </c>
    </row>
    <row r="46" spans="1:8" x14ac:dyDescent="0.25">
      <c r="A46" s="1">
        <v>39600</v>
      </c>
      <c r="B46">
        <v>254.3</v>
      </c>
      <c r="C46">
        <v>284.2</v>
      </c>
      <c r="F46" s="1">
        <v>39600</v>
      </c>
      <c r="G46" s="3">
        <f>43400000*(1000/1000000000)</f>
        <v>43.4</v>
      </c>
      <c r="H46" s="4">
        <v>1.5615723666456777E-2</v>
      </c>
    </row>
    <row r="47" spans="1:8" x14ac:dyDescent="0.25">
      <c r="A47" s="1">
        <v>39692</v>
      </c>
      <c r="B47">
        <v>223.1</v>
      </c>
      <c r="C47">
        <v>145</v>
      </c>
      <c r="F47" s="1">
        <v>39692</v>
      </c>
      <c r="G47" s="3">
        <f>26500000*(1000/1000000000)</f>
        <v>26.5</v>
      </c>
      <c r="H47" s="4">
        <v>9.6266494718965402E-3</v>
      </c>
    </row>
    <row r="48" spans="1:8" x14ac:dyDescent="0.25">
      <c r="A48" s="1">
        <v>39783</v>
      </c>
      <c r="B48">
        <v>196.5</v>
      </c>
      <c r="C48">
        <v>94.04</v>
      </c>
      <c r="F48" s="1">
        <v>39783</v>
      </c>
      <c r="G48" s="3">
        <f>18500000*(1000/1000000000)</f>
        <v>18.5</v>
      </c>
      <c r="H48" s="4">
        <v>6.7568184515928746E-3</v>
      </c>
    </row>
    <row r="49" spans="1:8" x14ac:dyDescent="0.25">
      <c r="A49" s="1">
        <v>39873</v>
      </c>
      <c r="B49">
        <v>214.8</v>
      </c>
      <c r="C49">
        <v>172.7</v>
      </c>
      <c r="F49" s="1">
        <v>39873</v>
      </c>
      <c r="G49" s="3">
        <f>21200000*(1000/1000000000)</f>
        <v>21.2</v>
      </c>
      <c r="H49" s="4">
        <v>7.8122840797074074E-3</v>
      </c>
    </row>
    <row r="50" spans="1:8" x14ac:dyDescent="0.25">
      <c r="A50" s="1">
        <v>39965</v>
      </c>
      <c r="B50">
        <v>170</v>
      </c>
      <c r="C50">
        <v>333.8</v>
      </c>
      <c r="F50" s="1">
        <v>39965</v>
      </c>
      <c r="G50" s="3">
        <f>33200000*(1000/1000000000)</f>
        <v>33.199999999999996</v>
      </c>
      <c r="H50" s="4">
        <v>1.2120990854493344E-2</v>
      </c>
    </row>
    <row r="51" spans="1:8" x14ac:dyDescent="0.25">
      <c r="A51" s="1">
        <v>40057</v>
      </c>
      <c r="B51">
        <v>193.8</v>
      </c>
      <c r="C51">
        <v>306</v>
      </c>
      <c r="F51" s="1">
        <v>40057</v>
      </c>
      <c r="G51" s="3">
        <f>28100000*(1000/1000000000)</f>
        <v>28.099999999999998</v>
      </c>
      <c r="H51" s="4">
        <v>1.0313819049366856E-2</v>
      </c>
    </row>
    <row r="52" spans="1:8" x14ac:dyDescent="0.25">
      <c r="A52" s="1">
        <v>40148</v>
      </c>
      <c r="B52">
        <v>178.6</v>
      </c>
      <c r="C52">
        <v>199.2</v>
      </c>
      <c r="F52" s="1">
        <v>40148</v>
      </c>
      <c r="G52" s="3">
        <f>17900000*(1000/1000000000)</f>
        <v>17.899999999999999</v>
      </c>
      <c r="H52" s="4">
        <v>6.5071387674606705E-3</v>
      </c>
    </row>
    <row r="53" spans="1:8" x14ac:dyDescent="0.25">
      <c r="A53" s="1">
        <v>40238</v>
      </c>
      <c r="B53">
        <v>171.9</v>
      </c>
      <c r="C53">
        <v>200.5</v>
      </c>
      <c r="F53" s="1">
        <v>40238</v>
      </c>
      <c r="G53" s="3">
        <f>16400000*(1000/1000000000)</f>
        <v>16.399999999999999</v>
      </c>
      <c r="H53" s="4">
        <v>5.8942979855158405E-3</v>
      </c>
    </row>
    <row r="54" spans="1:8" x14ac:dyDescent="0.25">
      <c r="A54" s="1">
        <v>40330</v>
      </c>
      <c r="B54">
        <v>169.3</v>
      </c>
      <c r="C54">
        <v>188.4</v>
      </c>
      <c r="F54" s="1">
        <v>40330</v>
      </c>
      <c r="G54" s="3">
        <f>16200000*(1000/1000000000)</f>
        <v>16.2</v>
      </c>
      <c r="H54" s="4">
        <v>5.7186225885592244E-3</v>
      </c>
    </row>
    <row r="55" spans="1:8" x14ac:dyDescent="0.25">
      <c r="A55" s="1">
        <v>40422</v>
      </c>
      <c r="B55">
        <v>178.5</v>
      </c>
      <c r="C55">
        <v>196.7</v>
      </c>
      <c r="F55" s="1">
        <v>40422</v>
      </c>
      <c r="G55" s="3">
        <f>17600000*(1000/1000000000)</f>
        <v>17.599999999999998</v>
      </c>
      <c r="H55" s="4">
        <v>6.1615480889573495E-3</v>
      </c>
    </row>
    <row r="56" spans="1:8" x14ac:dyDescent="0.25">
      <c r="A56" s="1">
        <v>40513</v>
      </c>
      <c r="B56">
        <v>160</v>
      </c>
      <c r="C56">
        <v>293.2</v>
      </c>
      <c r="F56" s="1">
        <v>40513</v>
      </c>
      <c r="G56" s="3">
        <f>14700000*(1000/1000000000)</f>
        <v>14.7</v>
      </c>
      <c r="H56" s="4">
        <v>5.0948349810676623E-3</v>
      </c>
    </row>
    <row r="57" spans="1:8" x14ac:dyDescent="0.25">
      <c r="A57" s="1">
        <v>40603</v>
      </c>
      <c r="B57">
        <v>167.2</v>
      </c>
      <c r="C57">
        <v>320.7</v>
      </c>
      <c r="F57" s="1">
        <v>40603</v>
      </c>
      <c r="G57" s="3">
        <f>19700000*(1000/1000000000)</f>
        <v>19.7</v>
      </c>
      <c r="H57" s="4">
        <v>6.7067825317252945E-3</v>
      </c>
    </row>
    <row r="58" spans="1:8" x14ac:dyDescent="0.25">
      <c r="A58" s="1">
        <v>40695</v>
      </c>
      <c r="B58">
        <v>142.69999999999999</v>
      </c>
      <c r="C58">
        <v>199.4</v>
      </c>
      <c r="F58" s="1">
        <v>40695</v>
      </c>
      <c r="G58" s="3">
        <f>12400000*(1000/1000000000)</f>
        <v>12.399999999999999</v>
      </c>
      <c r="H58" s="4">
        <v>4.1910652572519783E-3</v>
      </c>
    </row>
    <row r="59" spans="1:8" x14ac:dyDescent="0.25">
      <c r="A59" s="1">
        <v>40787</v>
      </c>
      <c r="B59">
        <v>141.5</v>
      </c>
      <c r="C59">
        <v>142.5</v>
      </c>
      <c r="F59" s="1">
        <v>40787</v>
      </c>
      <c r="G59" s="3">
        <f>11000000*(1000/1000000000)</f>
        <v>11</v>
      </c>
      <c r="H59" s="4">
        <v>3.6843824053992952E-3</v>
      </c>
    </row>
    <row r="60" spans="1:8" x14ac:dyDescent="0.25">
      <c r="A60" s="1">
        <v>40878</v>
      </c>
      <c r="B60">
        <v>166</v>
      </c>
      <c r="C60">
        <v>227.4</v>
      </c>
      <c r="F60" s="1">
        <v>40878</v>
      </c>
      <c r="G60" s="3">
        <f>15100000*(1000/1000000000)</f>
        <v>15.1</v>
      </c>
      <c r="H60" s="4">
        <v>5.0266311584553931E-3</v>
      </c>
    </row>
    <row r="61" spans="1:8" x14ac:dyDescent="0.25">
      <c r="A61" s="1">
        <v>40969</v>
      </c>
      <c r="B61">
        <v>144</v>
      </c>
      <c r="C61">
        <v>258.39999999999998</v>
      </c>
      <c r="F61" s="1">
        <v>40969</v>
      </c>
      <c r="G61" s="3">
        <f>14200000*(1000/1000000000)</f>
        <v>14.2</v>
      </c>
      <c r="H61" s="4">
        <v>4.6111756062315818E-3</v>
      </c>
    </row>
    <row r="62" spans="1:8" x14ac:dyDescent="0.25">
      <c r="A62" s="1">
        <v>41061</v>
      </c>
      <c r="B62">
        <v>158.5</v>
      </c>
      <c r="C62">
        <v>290.2</v>
      </c>
      <c r="F62" s="1">
        <v>41061</v>
      </c>
      <c r="G62" s="3">
        <f>13600000*(1000/1000000000)</f>
        <v>13.6</v>
      </c>
      <c r="H62" s="4">
        <v>4.3666019168098116E-3</v>
      </c>
    </row>
    <row r="63" spans="1:8" x14ac:dyDescent="0.25">
      <c r="A63" s="1">
        <v>41153</v>
      </c>
      <c r="B63">
        <v>200.8</v>
      </c>
      <c r="C63">
        <v>309.60000000000002</v>
      </c>
      <c r="F63" s="1">
        <v>41153</v>
      </c>
      <c r="G63" s="3">
        <f>12100000*(1000/1000000000)</f>
        <v>12.1</v>
      </c>
      <c r="H63" s="4">
        <v>3.8992636514509449E-3</v>
      </c>
    </row>
    <row r="64" spans="1:8" x14ac:dyDescent="0.25">
      <c r="A64" s="1">
        <v>41244</v>
      </c>
      <c r="B64">
        <v>206.5</v>
      </c>
      <c r="C64">
        <v>333.3</v>
      </c>
      <c r="F64" s="1">
        <v>41244</v>
      </c>
      <c r="G64" s="3">
        <f>14300000*(1000/1000000000)</f>
        <v>14.299999999999999</v>
      </c>
      <c r="H64" s="4">
        <v>4.4581271189743183E-3</v>
      </c>
    </row>
    <row r="65" spans="1:8" x14ac:dyDescent="0.25">
      <c r="A65" s="1">
        <v>41334</v>
      </c>
      <c r="B65">
        <v>189.7</v>
      </c>
      <c r="C65">
        <v>377.6</v>
      </c>
      <c r="F65" s="1">
        <v>41334</v>
      </c>
      <c r="G65" s="3">
        <f>18300000*(1000/1000000000)</f>
        <v>18.3</v>
      </c>
      <c r="H65" s="4">
        <v>5.9177816403249931E-3</v>
      </c>
    </row>
    <row r="66" spans="1:8" x14ac:dyDescent="0.25">
      <c r="A66" s="1">
        <v>41426</v>
      </c>
      <c r="B66">
        <v>198.2</v>
      </c>
      <c r="C66">
        <v>361.3</v>
      </c>
      <c r="F66" s="1">
        <v>41426</v>
      </c>
      <c r="G66" s="3">
        <f>20300000*(1000/1000000000)</f>
        <v>20.3</v>
      </c>
      <c r="H66" s="4">
        <v>6.5113668257086726E-3</v>
      </c>
    </row>
    <row r="67" spans="1:8" x14ac:dyDescent="0.25">
      <c r="A67" s="1">
        <v>41518</v>
      </c>
      <c r="B67">
        <v>218.8</v>
      </c>
      <c r="C67">
        <v>317.5</v>
      </c>
      <c r="F67" s="1">
        <v>41518</v>
      </c>
      <c r="G67" s="3">
        <f>21800000*(1000/1000000000)</f>
        <v>21.8</v>
      </c>
      <c r="H67" s="4">
        <v>6.9375934824809854E-3</v>
      </c>
    </row>
    <row r="68" spans="1:8" x14ac:dyDescent="0.25">
      <c r="A68" s="1">
        <v>41609</v>
      </c>
      <c r="B68">
        <v>230.9</v>
      </c>
      <c r="C68">
        <v>207.9</v>
      </c>
      <c r="F68" s="1">
        <v>41609</v>
      </c>
      <c r="G68" s="3">
        <f>20100000*(1000/1000000000)</f>
        <v>20.099999999999998</v>
      </c>
      <c r="H68" s="4">
        <v>6.3507610644633842E-3</v>
      </c>
    </row>
    <row r="69" spans="1:8" x14ac:dyDescent="0.25">
      <c r="A69" s="1">
        <v>41699</v>
      </c>
      <c r="B69">
        <v>198.3</v>
      </c>
      <c r="C69">
        <v>122.7</v>
      </c>
      <c r="F69" s="1">
        <v>41699</v>
      </c>
      <c r="G69" s="3">
        <f>16900000*(1000/1000000000)</f>
        <v>16.899999999999999</v>
      </c>
      <c r="H69" s="4">
        <v>5.2483249613751231E-3</v>
      </c>
    </row>
    <row r="70" spans="1:8" x14ac:dyDescent="0.25">
      <c r="A70" s="1">
        <v>41791</v>
      </c>
      <c r="B70">
        <v>163.19999999999999</v>
      </c>
      <c r="C70">
        <v>112.9</v>
      </c>
      <c r="F70" s="1">
        <v>41791</v>
      </c>
      <c r="G70" s="3">
        <f>13300000*(1000/1000000000)</f>
        <v>13.299999999999999</v>
      </c>
      <c r="H70" s="4">
        <v>4.0560528201765752E-3</v>
      </c>
    </row>
    <row r="71" spans="1:8" x14ac:dyDescent="0.25">
      <c r="A71" s="1">
        <v>41883</v>
      </c>
      <c r="B71">
        <v>219.5</v>
      </c>
      <c r="C71">
        <v>107.2</v>
      </c>
      <c r="F71" s="1">
        <v>41883</v>
      </c>
      <c r="G71" s="3">
        <f>12700000*(1000/1000000000)</f>
        <v>12.7</v>
      </c>
      <c r="H71" s="4">
        <v>3.8192904239562737E-3</v>
      </c>
    </row>
    <row r="72" spans="1:8" x14ac:dyDescent="0.25">
      <c r="A72" s="1">
        <v>41974</v>
      </c>
      <c r="B72">
        <v>217.6</v>
      </c>
      <c r="C72">
        <v>126.6</v>
      </c>
      <c r="F72" s="1">
        <v>41974</v>
      </c>
      <c r="G72" s="3">
        <f>15800000*(1000/1000000000)</f>
        <v>15.799999999999999</v>
      </c>
      <c r="H72" s="4">
        <v>4.6916989592148822E-3</v>
      </c>
    </row>
    <row r="73" spans="1:8" x14ac:dyDescent="0.25">
      <c r="A73" s="1">
        <v>42064</v>
      </c>
      <c r="B73">
        <v>200.8</v>
      </c>
      <c r="C73">
        <v>158.9</v>
      </c>
      <c r="F73" s="1">
        <v>42064</v>
      </c>
      <c r="G73" s="3">
        <f>14000000*(1000/1000000000)</f>
        <v>14</v>
      </c>
      <c r="H73" s="4">
        <v>4.1197069122796692E-3</v>
      </c>
    </row>
    <row r="74" spans="1:8" x14ac:dyDescent="0.25">
      <c r="A74" s="1">
        <v>42156</v>
      </c>
      <c r="B74">
        <v>209.7</v>
      </c>
      <c r="C74">
        <v>246</v>
      </c>
      <c r="F74" s="1">
        <v>42156</v>
      </c>
      <c r="G74" s="3">
        <f>18500000*(1000/1000000000)</f>
        <v>18.5</v>
      </c>
      <c r="H74" s="4">
        <v>5.4026823587819146E-3</v>
      </c>
    </row>
    <row r="75" spans="1:8" x14ac:dyDescent="0.25">
      <c r="A75" s="1">
        <v>42248</v>
      </c>
      <c r="B75">
        <v>270.60000000000002</v>
      </c>
      <c r="C75">
        <v>217.4</v>
      </c>
      <c r="F75" s="1">
        <v>42248</v>
      </c>
      <c r="G75" s="3">
        <f>29200000*(1000/1000000000)</f>
        <v>29.2</v>
      </c>
      <c r="H75" s="4">
        <v>8.4578843702931283E-3</v>
      </c>
    </row>
    <row r="76" spans="1:8" x14ac:dyDescent="0.25">
      <c r="A76" s="1">
        <v>42339</v>
      </c>
      <c r="B76">
        <v>260.8</v>
      </c>
      <c r="C76">
        <v>166</v>
      </c>
      <c r="F76" s="1">
        <v>42339</v>
      </c>
      <c r="G76" s="3">
        <f>19100000*(1000/1000000000)</f>
        <v>19.099999999999998</v>
      </c>
      <c r="H76" s="4">
        <v>5.5037676315069081E-3</v>
      </c>
    </row>
    <row r="77" spans="1:8" x14ac:dyDescent="0.25">
      <c r="A77" s="1">
        <v>42430</v>
      </c>
      <c r="B77">
        <v>211.2</v>
      </c>
      <c r="C77">
        <v>167.9</v>
      </c>
      <c r="F77" s="1">
        <v>42430</v>
      </c>
      <c r="G77" s="3">
        <f>21300000*(1000/1000000000)</f>
        <v>21.3</v>
      </c>
      <c r="H77" s="4">
        <v>6.0883235672431046E-3</v>
      </c>
    </row>
    <row r="78" spans="1:8" x14ac:dyDescent="0.25">
      <c r="A78" s="1">
        <v>42522</v>
      </c>
      <c r="B78">
        <v>236.5</v>
      </c>
      <c r="C78">
        <v>179.1</v>
      </c>
      <c r="F78" s="1">
        <v>42522</v>
      </c>
      <c r="G78" s="3">
        <f>21300000*(1000/1000000000)</f>
        <v>21.3</v>
      </c>
      <c r="H78" s="4">
        <v>6.0603042955607563E-3</v>
      </c>
    </row>
    <row r="79" spans="1:8" x14ac:dyDescent="0.25">
      <c r="A79" s="1">
        <v>42614</v>
      </c>
      <c r="B79">
        <v>274.89999999999998</v>
      </c>
      <c r="C79">
        <v>191.5</v>
      </c>
      <c r="F79" s="1">
        <v>42614</v>
      </c>
      <c r="G79" s="3">
        <f>27900000*(1000/1000000000)</f>
        <v>27.9</v>
      </c>
      <c r="H79" s="4">
        <v>7.8704617901774378E-3</v>
      </c>
    </row>
    <row r="80" spans="1:8" x14ac:dyDescent="0.25">
      <c r="A80" s="1">
        <v>42705</v>
      </c>
      <c r="B80">
        <v>301</v>
      </c>
      <c r="C80">
        <v>302</v>
      </c>
      <c r="F80" s="1">
        <v>42705</v>
      </c>
      <c r="G80" s="3">
        <f>33000000*(1000/1000000000)</f>
        <v>33</v>
      </c>
      <c r="H80" s="4">
        <v>9.2163324582472221E-3</v>
      </c>
    </row>
    <row r="81" spans="1:8" x14ac:dyDescent="0.25">
      <c r="A81" s="1">
        <v>42795</v>
      </c>
      <c r="B81">
        <v>249.9</v>
      </c>
      <c r="C81">
        <v>231.5</v>
      </c>
      <c r="F81" s="1">
        <v>42795</v>
      </c>
      <c r="G81" s="3">
        <f>25100000*(1000/1000000000)</f>
        <v>25.099999999999998</v>
      </c>
      <c r="H81" s="4">
        <v>6.9013397122608755E-3</v>
      </c>
    </row>
    <row r="82" spans="1:8" x14ac:dyDescent="0.25">
      <c r="A82" s="1">
        <v>42887</v>
      </c>
      <c r="B82">
        <v>255</v>
      </c>
      <c r="C82">
        <v>153.6</v>
      </c>
      <c r="F82" s="1">
        <v>42887</v>
      </c>
      <c r="G82" s="3">
        <f>25000000*(1000/1000000000)</f>
        <v>25</v>
      </c>
      <c r="H82" s="4">
        <v>6.7895115625381912E-3</v>
      </c>
    </row>
    <row r="83" spans="1:8" x14ac:dyDescent="0.25">
      <c r="A83" s="1">
        <v>42979</v>
      </c>
      <c r="B83">
        <v>316.7</v>
      </c>
      <c r="C83">
        <v>147.80000000000001</v>
      </c>
      <c r="F83" s="1">
        <v>42979</v>
      </c>
      <c r="G83" s="3">
        <f>25800000*(1000/1000000000)</f>
        <v>25.799999999999997</v>
      </c>
      <c r="H83" s="4">
        <v>6.9417351647316798E-3</v>
      </c>
    </row>
    <row r="84" spans="1:8" x14ac:dyDescent="0.25">
      <c r="A84" s="1">
        <v>43070</v>
      </c>
      <c r="B84">
        <v>293.7</v>
      </c>
      <c r="C84">
        <v>143.19999999999999</v>
      </c>
      <c r="F84" s="1">
        <v>43070</v>
      </c>
      <c r="G84" s="3">
        <f>25400000*(1000/1000000000)</f>
        <v>25.4</v>
      </c>
      <c r="H84" s="4">
        <v>6.7635037079444536E-3</v>
      </c>
    </row>
    <row r="85" spans="1:8" x14ac:dyDescent="0.25">
      <c r="A85" s="1">
        <v>43160</v>
      </c>
      <c r="B85">
        <v>260</v>
      </c>
      <c r="C85">
        <v>154</v>
      </c>
      <c r="F85" s="1">
        <v>43160</v>
      </c>
      <c r="G85" s="3">
        <f>26000000*(1000/1000000000)</f>
        <v>26</v>
      </c>
      <c r="H85" s="4">
        <v>6.8053029014147172E-3</v>
      </c>
    </row>
    <row r="86" spans="1:8" x14ac:dyDescent="0.25">
      <c r="A86" s="1">
        <v>43252</v>
      </c>
      <c r="B86">
        <v>294.60000000000002</v>
      </c>
      <c r="C86">
        <v>129.30000000000001</v>
      </c>
      <c r="F86" s="1">
        <v>43252</v>
      </c>
      <c r="G86" s="3">
        <f>22800000*(1000/1000000000)</f>
        <v>22.8</v>
      </c>
      <c r="H86" s="4">
        <v>5.8865294003743627E-3</v>
      </c>
    </row>
    <row r="87" spans="1:8" x14ac:dyDescent="0.25">
      <c r="A87" s="1">
        <v>43344</v>
      </c>
      <c r="B87">
        <v>327.39999999999998</v>
      </c>
      <c r="C87">
        <v>103.5</v>
      </c>
      <c r="F87" s="1">
        <v>43344</v>
      </c>
      <c r="G87" s="3">
        <f>21700000*(1000/1000000000)</f>
        <v>21.7</v>
      </c>
      <c r="H87" s="4">
        <v>5.5235610423494223E-3</v>
      </c>
    </row>
    <row r="88" spans="1:8" x14ac:dyDescent="0.25">
      <c r="A88" s="1">
        <v>43435</v>
      </c>
      <c r="B88">
        <v>296</v>
      </c>
      <c r="C88">
        <v>92.66</v>
      </c>
      <c r="F88" s="1">
        <v>43435</v>
      </c>
      <c r="G88" s="3">
        <f>20500000*(1000/1000000000)</f>
        <v>20.5</v>
      </c>
      <c r="H88" s="4">
        <v>5.1424199475724021E-3</v>
      </c>
    </row>
    <row r="89" spans="1:8" x14ac:dyDescent="0.25">
      <c r="A89" s="1">
        <v>43525</v>
      </c>
      <c r="B89">
        <v>239.5</v>
      </c>
      <c r="C89">
        <v>91.65</v>
      </c>
      <c r="F89" s="1">
        <v>43525</v>
      </c>
      <c r="G89" s="3">
        <f>21700000*(1000/1000000000)</f>
        <v>21.7</v>
      </c>
      <c r="H89" s="4">
        <v>5.362924152929837E-3</v>
      </c>
    </row>
    <row r="90" spans="1:8" x14ac:dyDescent="0.25">
      <c r="A90" s="1">
        <v>43617</v>
      </c>
      <c r="B90">
        <v>321.8</v>
      </c>
      <c r="C90">
        <v>138.6</v>
      </c>
      <c r="F90" s="1">
        <v>43617</v>
      </c>
      <c r="G90" s="3">
        <f>21400000*(1000/1000000000)</f>
        <v>21.4</v>
      </c>
      <c r="H90" s="4">
        <v>5.2569196661610357E-3</v>
      </c>
    </row>
    <row r="91" spans="1:8" x14ac:dyDescent="0.25">
      <c r="A91" s="1">
        <v>43709</v>
      </c>
      <c r="B91">
        <v>304.3</v>
      </c>
      <c r="C91">
        <v>208.6</v>
      </c>
      <c r="F91" s="1">
        <v>43709</v>
      </c>
      <c r="G91" s="3">
        <f>33700000*(1000/1000000000)</f>
        <v>33.699999999999996</v>
      </c>
      <c r="H91" s="4">
        <v>8.1897494471311564E-3</v>
      </c>
    </row>
    <row r="92" spans="1:8" x14ac:dyDescent="0.25">
      <c r="A92" s="1">
        <v>43800</v>
      </c>
      <c r="B92">
        <v>373.4</v>
      </c>
      <c r="C92">
        <v>363.1</v>
      </c>
      <c r="F92" s="1">
        <v>43800</v>
      </c>
      <c r="G92" s="3">
        <f>42700000*(1000/1000000000)</f>
        <v>42.699999999999996</v>
      </c>
      <c r="H92" s="4">
        <v>1.0272880917582383E-2</v>
      </c>
    </row>
    <row r="93" spans="1:8" x14ac:dyDescent="0.25">
      <c r="A93" s="1">
        <v>43891</v>
      </c>
      <c r="B93">
        <v>305.8</v>
      </c>
      <c r="C93">
        <v>343.3</v>
      </c>
      <c r="F93" s="1">
        <v>43891</v>
      </c>
      <c r="G93" s="3">
        <f>40100000*(1000/1000000000)</f>
        <v>40.1</v>
      </c>
      <c r="H93" s="4">
        <v>9.556379061758994E-3</v>
      </c>
    </row>
    <row r="94" spans="1:8" x14ac:dyDescent="0.25">
      <c r="A94" s="1">
        <v>43983</v>
      </c>
      <c r="B94">
        <v>332.5</v>
      </c>
      <c r="C94">
        <v>500.1</v>
      </c>
      <c r="F94" s="1">
        <v>43983</v>
      </c>
      <c r="G94" s="3">
        <f>40100000*(1000/1000000000)</f>
        <v>40.1</v>
      </c>
      <c r="H94" s="4">
        <v>8.7263073139947338E-3</v>
      </c>
    </row>
    <row r="95" spans="1:8" x14ac:dyDescent="0.25">
      <c r="A95" s="1">
        <v>44075</v>
      </c>
      <c r="B95">
        <v>419.1</v>
      </c>
      <c r="C95">
        <v>615.9</v>
      </c>
      <c r="F95" s="1">
        <v>44075</v>
      </c>
      <c r="G95" s="3">
        <f>45800000*(1000/1000000000)</f>
        <v>45.8</v>
      </c>
      <c r="H95" s="4">
        <v>1.0302726960864258E-2</v>
      </c>
    </row>
    <row r="96" spans="1:8" x14ac:dyDescent="0.25">
      <c r="A96" s="1">
        <v>44166</v>
      </c>
      <c r="B96">
        <v>465.5</v>
      </c>
      <c r="C96">
        <v>689.7</v>
      </c>
      <c r="F96" s="1">
        <v>44166</v>
      </c>
      <c r="G96" s="3">
        <f>61000000*(1000/1000000000)</f>
        <v>61</v>
      </c>
      <c r="H96" s="4">
        <v>1.3993874812172376E-2</v>
      </c>
    </row>
    <row r="97" spans="1:8" x14ac:dyDescent="0.25">
      <c r="A97" s="1">
        <v>44256</v>
      </c>
      <c r="B97">
        <v>419.9</v>
      </c>
      <c r="C97">
        <v>704.1</v>
      </c>
      <c r="F97" s="1">
        <v>44256</v>
      </c>
      <c r="G97" s="3">
        <f>51300000*(1000/1000000000)</f>
        <v>51.3</v>
      </c>
      <c r="H97" s="4">
        <v>1.0476603783218033E-2</v>
      </c>
    </row>
    <row r="98" spans="1:8" x14ac:dyDescent="0.25">
      <c r="A98" s="1">
        <v>44348</v>
      </c>
      <c r="B98">
        <v>477.8</v>
      </c>
      <c r="C98">
        <v>721.2</v>
      </c>
      <c r="F98" s="1">
        <v>44348</v>
      </c>
      <c r="G98" s="3">
        <f>59600000*(1000/1000000000)</f>
        <v>59.599999999999994</v>
      </c>
      <c r="H98" s="4">
        <v>1.3043145236297585E-2</v>
      </c>
    </row>
    <row r="99" spans="1:8" x14ac:dyDescent="0.25">
      <c r="A99" s="1">
        <v>44440</v>
      </c>
      <c r="B99">
        <v>515</v>
      </c>
      <c r="C99">
        <v>578.70000000000005</v>
      </c>
      <c r="F99" s="1">
        <v>44440</v>
      </c>
      <c r="G99" s="3">
        <f>69400000*(1000/1000000000)</f>
        <v>69.399999999999991</v>
      </c>
      <c r="H99" s="4">
        <v>1.5159458278724332E-2</v>
      </c>
    </row>
    <row r="100" spans="1:8" x14ac:dyDescent="0.25">
      <c r="A100" s="1">
        <v>44531</v>
      </c>
      <c r="B100">
        <v>519.4</v>
      </c>
      <c r="C100">
        <v>494.8</v>
      </c>
      <c r="F100" s="1">
        <v>44531</v>
      </c>
      <c r="G100" s="3">
        <f>71000000*(1000/1000000000)</f>
        <v>71</v>
      </c>
      <c r="H100" s="4">
        <v>1.5471696057441397E-2</v>
      </c>
    </row>
    <row r="101" spans="1:8" x14ac:dyDescent="0.25">
      <c r="A101" s="1">
        <v>44621</v>
      </c>
      <c r="B101">
        <v>427.9</v>
      </c>
      <c r="C101">
        <v>412.6</v>
      </c>
      <c r="F101" s="1">
        <v>44621</v>
      </c>
      <c r="G101" s="3">
        <f>66000000*(1000/1000000000)</f>
        <v>66</v>
      </c>
      <c r="H101" s="4">
        <v>1.452592657804384E-2</v>
      </c>
    </row>
    <row r="102" spans="1:8" x14ac:dyDescent="0.25">
      <c r="A102" s="1">
        <v>44713</v>
      </c>
      <c r="B102">
        <v>470.6</v>
      </c>
      <c r="C102">
        <v>260.3</v>
      </c>
      <c r="F102" s="1">
        <v>44713</v>
      </c>
      <c r="G102" s="3">
        <f>53500000*(1000/1000000000)</f>
        <v>53.5</v>
      </c>
      <c r="H102" s="4">
        <v>1.1636885664879444E-2</v>
      </c>
    </row>
    <row r="103" spans="1:8" x14ac:dyDescent="0.25">
      <c r="A103" s="1">
        <v>44805</v>
      </c>
      <c r="B103">
        <v>462.7</v>
      </c>
      <c r="C103">
        <v>145.69999999999999</v>
      </c>
      <c r="F103" s="1">
        <v>44805</v>
      </c>
      <c r="G103" s="3">
        <f>46500000*(1000/1000000000)</f>
        <v>46.5</v>
      </c>
      <c r="H103" s="4">
        <v>9.9290022954145098E-3</v>
      </c>
    </row>
    <row r="104" spans="1:8" x14ac:dyDescent="0.25">
      <c r="A104" s="1">
        <v>44896</v>
      </c>
      <c r="B104">
        <v>388.3</v>
      </c>
      <c r="C104">
        <v>83.48</v>
      </c>
      <c r="F104" s="1">
        <v>44896</v>
      </c>
      <c r="G104" s="3">
        <f>27200000*(1000/1000000000)</f>
        <v>27.2</v>
      </c>
      <c r="H104" s="4">
        <v>5.6856187290969902E-3</v>
      </c>
    </row>
    <row r="105" spans="1:8" x14ac:dyDescent="0.25">
      <c r="A105" s="1">
        <v>44986</v>
      </c>
      <c r="B105">
        <v>256</v>
      </c>
      <c r="C105">
        <v>46.91</v>
      </c>
      <c r="F105" s="1">
        <v>44986</v>
      </c>
      <c r="G105" s="3">
        <f>15400000*(1000/1000000000)</f>
        <v>15.399999999999999</v>
      </c>
      <c r="H105" s="4">
        <v>3.1257611431355034E-3</v>
      </c>
    </row>
    <row r="106" spans="1:8" x14ac:dyDescent="0.25">
      <c r="F106">
        <v>202306</v>
      </c>
      <c r="G106" s="5"/>
      <c r="H106" s="6"/>
    </row>
    <row r="107" spans="1:8" x14ac:dyDescent="0.25">
      <c r="F107">
        <v>202309</v>
      </c>
      <c r="G107" s="5"/>
      <c r="H107" s="6"/>
    </row>
    <row r="108" spans="1:8" x14ac:dyDescent="0.25">
      <c r="F108">
        <v>202312</v>
      </c>
      <c r="G108" s="5"/>
      <c r="H108" s="6"/>
    </row>
  </sheetData>
  <mergeCells count="2">
    <mergeCell ref="A10:C10"/>
    <mergeCell ref="D2:K3"/>
  </mergeCells>
  <hyperlinks>
    <hyperlink ref="D4" r:id="rId1" xr:uid="{0DFA78BE-46A6-47EA-950D-F7F187298CD7}"/>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9DC73E440D4D944E31AF9E0456FA" ma:contentTypeVersion="5" ma:contentTypeDescription="Create a new document." ma:contentTypeScope="" ma:versionID="e0a1c7d8b25b2a4300108032c91b4054">
  <xsd:schema xmlns:xsd="http://www.w3.org/2001/XMLSchema" xmlns:xs="http://www.w3.org/2001/XMLSchema" xmlns:p="http://schemas.microsoft.com/office/2006/metadata/properties" xmlns:ns2="a6f046d2-6094-4d30-a885-67869cc125fc" xmlns:ns3="b7db504c-0fbc-451d-87a5-be053ab2b035" targetNamespace="http://schemas.microsoft.com/office/2006/metadata/properties" ma:root="true" ma:fieldsID="15577c56ba3e6bf9171ad82c6ce02fcc" ns2:_="" ns3:_="">
    <xsd:import namespace="a6f046d2-6094-4d30-a885-67869cc125fc"/>
    <xsd:import namespace="b7db504c-0fbc-451d-87a5-be053ab2b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46d2-6094-4d30-a885-67869cc125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b504c-0fbc-451d-87a5-be053ab2b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7851CC-E44F-4971-85DE-7E525412403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BC750AF-9685-4D9A-8536-B326BDC45DDB}">
  <ds:schemaRefs>
    <ds:schemaRef ds:uri="http://schemas.microsoft.com/sharepoint/v3/contenttype/forms"/>
  </ds:schemaRefs>
</ds:datastoreItem>
</file>

<file path=customXml/itemProps3.xml><?xml version="1.0" encoding="utf-8"?>
<ds:datastoreItem xmlns:ds="http://schemas.openxmlformats.org/officeDocument/2006/customXml" ds:itemID="{69C99D7E-19AA-4065-8D16-884742C18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46d2-6094-4d30-a885-67869cc125fc"/>
    <ds:schemaRef ds:uri="b7db504c-0fbc-451d-87a5-be053ab2b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LSE_HDCQ1 coversheet</vt:lpstr>
      <vt:lpstr>LSE_HDC_Q1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Scally, Joelle W</dc:creator>
  <cp:lastModifiedBy>Delaney, Trevor</cp:lastModifiedBy>
  <dcterms:created xsi:type="dcterms:W3CDTF">2023-05-15T12:13:51Z</dcterms:created>
  <dcterms:modified xsi:type="dcterms:W3CDTF">2023-05-15T13:17:07Z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2023-05-15T12:18:57Z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f526cdaa-bf62-4c30-a2fb-0ab1bb95099e</vt:lpwstr>
  </property>
  <property fmtid="{D5CDD505-2E9C-101B-9397-08002B2CF9AE}" pid="8" name="MSIP_Label_65269c60-0483-4c57-9e8c-3779d6900235_ContentBits">
    <vt:lpwstr>0</vt:lpwstr>
  </property>
  <property fmtid="{D5CDD505-2E9C-101B-9397-08002B2CF9AE}" pid="9" name="ContentTypeId">
    <vt:lpwstr>0x010100532F9DC73E440D4D944E31AF9E0456FA</vt:lpwstr>
  </property>
</Properties>
</file>